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eemahsa-my.sharepoint.com/personal/ahmed_hassan_deemah_com/Documents/Desktop/FinViq/Build Universe/"/>
    </mc:Choice>
  </mc:AlternateContent>
  <xr:revisionPtr revIDLastSave="2" documentId="11_CC0EC023957E6E7F602B0417575DCE3A174AC463" xr6:coauthVersionLast="47" xr6:coauthVersionMax="47" xr10:uidLastSave="{FF208096-15CB-4C6D-959B-ADB98BC895D0}"/>
  <bookViews>
    <workbookView xWindow="-120" yWindow="-120" windowWidth="29040" windowHeight="15720" xr2:uid="{00000000-000D-0000-FFFF-FFFF00000000}"/>
  </bookViews>
  <sheets>
    <sheet name="13-Week Cash Foreca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1" l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Q25" i="1"/>
  <c r="P25" i="1"/>
  <c r="O25" i="1"/>
  <c r="N25" i="1"/>
  <c r="M25" i="1"/>
  <c r="L25" i="1"/>
  <c r="K25" i="1"/>
  <c r="J25" i="1"/>
  <c r="I25" i="1"/>
  <c r="H25" i="1"/>
  <c r="H28" i="1" s="1"/>
  <c r="G25" i="1"/>
  <c r="F25" i="1"/>
  <c r="F28" i="1" s="1"/>
  <c r="E25" i="1"/>
  <c r="E28" i="1" s="1"/>
  <c r="Q22" i="1"/>
  <c r="Q34" i="1" s="1"/>
  <c r="P22" i="1"/>
  <c r="P34" i="1" s="1"/>
  <c r="O22" i="1"/>
  <c r="O34" i="1" s="1"/>
  <c r="N22" i="1"/>
  <c r="N34" i="1" s="1"/>
  <c r="M22" i="1"/>
  <c r="M34" i="1" s="1"/>
  <c r="L22" i="1"/>
  <c r="L34" i="1" s="1"/>
  <c r="K22" i="1"/>
  <c r="O31" i="1" s="1"/>
  <c r="J22" i="1"/>
  <c r="N31" i="1" s="1"/>
  <c r="I22" i="1"/>
  <c r="M31" i="1" s="1"/>
  <c r="H22" i="1"/>
  <c r="L31" i="1" s="1"/>
  <c r="G22" i="1"/>
  <c r="K31" i="1" s="1"/>
  <c r="F22" i="1"/>
  <c r="J31" i="1" s="1"/>
  <c r="E22" i="1"/>
  <c r="I31" i="1" s="1"/>
  <c r="C22" i="1"/>
  <c r="H31" i="1" s="1"/>
  <c r="Q28" i="1" l="1"/>
  <c r="O28" i="1"/>
  <c r="L28" i="1"/>
  <c r="K28" i="1"/>
  <c r="E34" i="1"/>
  <c r="H34" i="1"/>
  <c r="H38" i="1" s="1"/>
  <c r="H42" i="1" s="1"/>
  <c r="J34" i="1"/>
  <c r="J38" i="1" s="1"/>
  <c r="I34" i="1"/>
  <c r="N28" i="1"/>
  <c r="I28" i="1"/>
  <c r="F34" i="1"/>
  <c r="M28" i="1"/>
  <c r="G34" i="1"/>
  <c r="I38" i="1"/>
  <c r="L38" i="1"/>
  <c r="L42" i="1" s="1"/>
  <c r="P28" i="1"/>
  <c r="E31" i="1"/>
  <c r="E38" i="1" s="1"/>
  <c r="E42" i="1" s="1"/>
  <c r="E43" i="1" s="1"/>
  <c r="F31" i="1"/>
  <c r="J28" i="1"/>
  <c r="G31" i="1"/>
  <c r="P31" i="1"/>
  <c r="P38" i="1" s="1"/>
  <c r="P42" i="1" s="1"/>
  <c r="N38" i="1"/>
  <c r="N42" i="1" s="1"/>
  <c r="G28" i="1"/>
  <c r="M38" i="1"/>
  <c r="O38" i="1"/>
  <c r="O42" i="1" s="1"/>
  <c r="Q31" i="1"/>
  <c r="Q38" i="1" s="1"/>
  <c r="Q42" i="1" s="1"/>
  <c r="K34" i="1"/>
  <c r="K38" i="1" s="1"/>
  <c r="K42" i="1" s="1"/>
  <c r="G38" i="1" l="1"/>
  <c r="F38" i="1"/>
  <c r="F42" i="1" s="1"/>
  <c r="G42" i="1"/>
  <c r="M42" i="1"/>
  <c r="I42" i="1"/>
  <c r="J42" i="1"/>
  <c r="B52" i="1"/>
  <c r="E44" i="1"/>
  <c r="F41" i="1"/>
  <c r="F43" i="1" s="1"/>
  <c r="B53" i="1"/>
  <c r="F44" i="1" l="1"/>
  <c r="F45" i="1" s="1"/>
  <c r="G41" i="1"/>
  <c r="G43" i="1" s="1"/>
  <c r="E45" i="1"/>
  <c r="G44" i="1" l="1"/>
  <c r="H41" i="1"/>
  <c r="H43" i="1" s="1"/>
  <c r="H44" i="1" l="1"/>
  <c r="H45" i="1" s="1"/>
  <c r="I41" i="1"/>
  <c r="I43" i="1" s="1"/>
  <c r="G45" i="1"/>
  <c r="J41" i="1" l="1"/>
  <c r="J43" i="1" s="1"/>
  <c r="I44" i="1"/>
  <c r="I45" i="1" l="1"/>
  <c r="K41" i="1"/>
  <c r="K43" i="1" s="1"/>
  <c r="J44" i="1"/>
  <c r="J45" i="1" s="1"/>
  <c r="K44" i="1" l="1"/>
  <c r="L41" i="1"/>
  <c r="L43" i="1" s="1"/>
  <c r="M41" i="1" l="1"/>
  <c r="M43" i="1" s="1"/>
  <c r="L44" i="1"/>
  <c r="L45" i="1" s="1"/>
  <c r="K45" i="1"/>
  <c r="N41" i="1" l="1"/>
  <c r="N43" i="1" s="1"/>
  <c r="M44" i="1"/>
  <c r="M45" i="1" l="1"/>
  <c r="N44" i="1"/>
  <c r="N45" i="1" s="1"/>
  <c r="O41" i="1"/>
  <c r="O43" i="1" s="1"/>
  <c r="P41" i="1" l="1"/>
  <c r="P43" i="1" s="1"/>
  <c r="O44" i="1"/>
  <c r="O45" i="1" s="1"/>
  <c r="Q41" i="1" l="1"/>
  <c r="Q43" i="1" s="1"/>
  <c r="P44" i="1"/>
  <c r="P45" i="1" s="1"/>
  <c r="B51" i="1" l="1"/>
  <c r="Q44" i="1"/>
  <c r="B48" i="1"/>
  <c r="B49" i="1" s="1"/>
  <c r="Q45" i="1" l="1"/>
  <c r="B50" i="1"/>
</calcChain>
</file>

<file path=xl/sharedStrings.xml><?xml version="1.0" encoding="utf-8"?>
<sst xmlns="http://schemas.openxmlformats.org/spreadsheetml/2006/main" count="54" uniqueCount="53">
  <si>
    <t>Maple Ridge Snacks - 13-Week Cash Flow Forecast</t>
  </si>
  <si>
    <t>SYNTHETIC DATA - ILLUSTRATIVE ONLY. Maple Ridge Snacks is a fictional company. Prepared by Finviq (www.thefinviq.com) as a demonstration.</t>
  </si>
  <si>
    <t>USD thousands. Blue cells on yellow = inputs you can change; everything else is formula-driven.</t>
  </si>
  <si>
    <t>ASSUMPTIONS</t>
  </si>
  <si>
    <t>Opening cash</t>
  </si>
  <si>
    <t>Minimum cash (bank covenant / policy)</t>
  </si>
  <si>
    <t>Retailer deductions (% of collections)</t>
  </si>
  <si>
    <t>Materials &amp; packaging (% of sales)</t>
  </si>
  <si>
    <t>Supplier payment lag (weeks)</t>
  </si>
  <si>
    <t>Freight (% of sales)</t>
  </si>
  <si>
    <t>Capex: packaging-line deposit</t>
  </si>
  <si>
    <t>Capex payment week (1-13; 0 = not in window)</t>
  </si>
  <si>
    <t>Week</t>
  </si>
  <si>
    <t>Pay lag (wks)</t>
  </si>
  <si>
    <t>Prior weekly</t>
  </si>
  <si>
    <t>Week starting (Mon)</t>
  </si>
  <si>
    <t>SALES INVOICED (by channel)</t>
  </si>
  <si>
    <t>Grocery retail</t>
  </si>
  <si>
    <t>Club stores</t>
  </si>
  <si>
    <t>Distributors</t>
  </si>
  <si>
    <t>Total sales invoiced</t>
  </si>
  <si>
    <t>CASH RECEIPTS (collections after deductions)</t>
  </si>
  <si>
    <t>Collections - Grocery retail</t>
  </si>
  <si>
    <t>Collections - Club stores</t>
  </si>
  <si>
    <t>Collections - Distributors</t>
  </si>
  <si>
    <t>Total receipts</t>
  </si>
  <si>
    <t>CASH PAYMENTS</t>
  </si>
  <si>
    <t>Materials &amp; packaging suppliers</t>
  </si>
  <si>
    <t>Payroll (bi-weekly)</t>
  </si>
  <si>
    <t>Rent, utilities &amp; overheads</t>
  </si>
  <si>
    <t>Freight</t>
  </si>
  <si>
    <t>Co-packer invoice</t>
  </si>
  <si>
    <t>Capex</t>
  </si>
  <si>
    <t>Loan interest &amp; principal</t>
  </si>
  <si>
    <t>Total payments</t>
  </si>
  <si>
    <t>CASH POSITION</t>
  </si>
  <si>
    <t>Net cash flow</t>
  </si>
  <si>
    <t>Closing cash</t>
  </si>
  <si>
    <t>Headroom vs minimum cash</t>
  </si>
  <si>
    <t>Status</t>
  </si>
  <si>
    <t>SUMMARY</t>
  </si>
  <si>
    <t>Lowest closing cash</t>
  </si>
  <si>
    <t>Week of lowest cash</t>
  </si>
  <si>
    <t>Weeks below minimum cash</t>
  </si>
  <si>
    <t>Closing cash, week 13</t>
  </si>
  <si>
    <t>Total receipts (13 weeks)</t>
  </si>
  <si>
    <t>Total payments (13 weeks)</t>
  </si>
  <si>
    <t>WHAT MANAGEMENT SHOULD DECIDE (based on the default inputs above)</t>
  </si>
  <si>
    <t>1. Capex timing - Owner: CEO with Operations. With the packaging-line deposit paid in week 8, cash drops below the minimum (see Status row). Change B13 to 11 and re-check: every week stays above the minimum. Decide whether the supplier will accept a later deposit date.</t>
  </si>
  <si>
    <t>2. Q4 peak buying - Owner: Supply Chain with Finance. Grocery sales peak in weeks 6-9, and materials are paid 4 weeks after the sales they support, so supplier payments peak just as collections lag. Agree the peak purchase plan and supplier terms before week 5.</t>
  </si>
  <si>
    <t>3. Collections and deductions - Owner: Commercial / Credit control. Retailer deductions reduce every collection (B8). Review disputed deductions weekly; each 1 point of deductions costs roughly 1% of receipts.</t>
  </si>
  <si>
    <t>4. Review rhythm - Owner: Finance. Roll the forecast forward every Monday: replace the oldest week with actuals, add week 14, and explain any closing-cash change of more than 50k.</t>
  </si>
  <si>
    <t>Synthetic demonstration only. Not financial advice. No real company, client or employer data is 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</si>
</sst>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(#,##0.0\);&quot;-&quot;"/>
    <numFmt numFmtId="165" formatCode="0.0%"/>
    <numFmt numFmtId="167" formatCode="dd\-mmm"/>
  </numFmts>
  <fonts count="9" x14ac:knownFonts="1">
    <font>
      <sz val="11"/>
      <color theme="1"/>
      <name val="Calibri"/>
      <family val="2"/>
      <scheme val="minor"/>
    </font>
    <font>
      <b/>
      <sz val="14"/>
      <color rgb="FF1F3A5F"/>
      <name val="Calibri"/>
    </font>
    <font>
      <b/>
      <sz val="11"/>
      <color rgb="FFC00000"/>
      <name val="Calibri"/>
    </font>
    <font>
      <i/>
      <sz val="11"/>
      <color rgb="FF555555"/>
      <name val="Calibri"/>
    </font>
    <font>
      <b/>
      <sz val="11"/>
      <name val="Calibri"/>
    </font>
    <font>
      <sz val="11"/>
      <color rgb="FF0000FF"/>
      <name val="Calibri"/>
    </font>
    <font>
      <b/>
      <sz val="11"/>
      <color rgb="FFFFFFFF"/>
      <name val="Calibri"/>
    </font>
    <font>
      <sz val="11"/>
      <name val="Calibri"/>
    </font>
    <font>
      <i/>
      <sz val="11"/>
      <color rgb="FFC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EBEC"/>
      </patternFill>
    </fill>
    <fill>
      <patternFill patternType="solid">
        <fgColor rgb="FFFFF7D6"/>
      </patternFill>
    </fill>
    <fill>
      <patternFill patternType="solid">
        <fgColor rgb="FF1F3A5F"/>
      </patternFill>
    </fill>
  </fills>
  <borders count="2">
    <border>
      <left/>
      <right/>
      <top/>
      <bottom/>
      <diagonal/>
    </border>
    <border>
      <left/>
      <right/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5" fillId="3" borderId="0" xfId="0" applyNumberFormat="1" applyFont="1" applyFill="1"/>
    <xf numFmtId="165" fontId="5" fillId="3" borderId="0" xfId="0" applyNumberFormat="1" applyFont="1" applyFill="1"/>
    <xf numFmtId="1" fontId="5" fillId="3" borderId="0" xfId="0" applyNumberFormat="1" applyFont="1" applyFill="1"/>
    <xf numFmtId="0" fontId="6" fillId="4" borderId="0" xfId="0" applyFont="1" applyFill="1"/>
    <xf numFmtId="0" fontId="0" fillId="4" borderId="0" xfId="0" applyFill="1"/>
    <xf numFmtId="0" fontId="6" fillId="4" borderId="0" xfId="0" applyFont="1" applyFill="1" applyAlignment="1">
      <alignment horizontal="center"/>
    </xf>
    <xf numFmtId="167" fontId="6" fillId="4" borderId="0" xfId="0" applyNumberFormat="1" applyFont="1" applyFill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4" fontId="0" fillId="0" borderId="0" xfId="0" applyNumberFormat="1"/>
    <xf numFmtId="0" fontId="7" fillId="0" borderId="0" xfId="0" applyFont="1"/>
    <xf numFmtId="164" fontId="4" fillId="0" borderId="1" xfId="0" applyNumberFormat="1" applyFont="1" applyBorder="1"/>
    <xf numFmtId="0" fontId="0" fillId="0" borderId="0" xfId="0" applyAlignment="1">
      <alignment horizontal="center"/>
    </xf>
    <xf numFmtId="1" fontId="4" fillId="0" borderId="0" xfId="0" applyNumberFormat="1" applyFont="1"/>
    <xf numFmtId="0" fontId="8" fillId="0" borderId="0" xfId="0" applyFont="1"/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1">
    <dxf>
      <font>
        <b/>
        <color rgb="FF9C0006"/>
      </font>
      <fill>
        <patternFill patternType="solid">
          <fgColor rgb="FFF8D7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showGridLines="0" tabSelected="1" workbookViewId="0">
      <pane xSplit="4" ySplit="16" topLeftCell="E1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4" customWidth="1"/>
    <col min="2" max="3" width="12" customWidth="1"/>
    <col min="4" max="4" width="2" customWidth="1"/>
    <col min="5" max="17" width="9.42578125" customWidth="1"/>
  </cols>
  <sheetData>
    <row r="1" spans="1:17" ht="18.75" x14ac:dyDescent="0.3">
      <c r="A1" s="1" t="s">
        <v>0</v>
      </c>
    </row>
    <row r="2" spans="1:17" x14ac:dyDescent="0.25">
      <c r="A2" s="2" t="s">
        <v>1</v>
      </c>
    </row>
    <row r="3" spans="1:17" x14ac:dyDescent="0.25">
      <c r="A3" s="3" t="s">
        <v>2</v>
      </c>
    </row>
    <row r="5" spans="1:17" x14ac:dyDescent="0.25">
      <c r="A5" s="4" t="s">
        <v>3</v>
      </c>
    </row>
    <row r="6" spans="1:17" x14ac:dyDescent="0.25">
      <c r="A6" t="s">
        <v>4</v>
      </c>
      <c r="B6" s="5">
        <v>550</v>
      </c>
    </row>
    <row r="7" spans="1:17" x14ac:dyDescent="0.25">
      <c r="A7" t="s">
        <v>5</v>
      </c>
      <c r="B7" s="5">
        <v>300</v>
      </c>
    </row>
    <row r="8" spans="1:17" x14ac:dyDescent="0.25">
      <c r="A8" t="s">
        <v>6</v>
      </c>
      <c r="B8" s="6">
        <v>0.03</v>
      </c>
    </row>
    <row r="9" spans="1:17" x14ac:dyDescent="0.25">
      <c r="A9" t="s">
        <v>7</v>
      </c>
      <c r="B9" s="6">
        <v>0.55000000000000004</v>
      </c>
    </row>
    <row r="10" spans="1:17" x14ac:dyDescent="0.25">
      <c r="A10" t="s">
        <v>8</v>
      </c>
      <c r="B10" s="7">
        <v>4</v>
      </c>
    </row>
    <row r="11" spans="1:17" x14ac:dyDescent="0.25">
      <c r="A11" t="s">
        <v>9</v>
      </c>
      <c r="B11" s="6">
        <v>4.4999999999999998E-2</v>
      </c>
    </row>
    <row r="12" spans="1:17" x14ac:dyDescent="0.25">
      <c r="A12" t="s">
        <v>10</v>
      </c>
      <c r="B12" s="5">
        <v>250</v>
      </c>
    </row>
    <row r="13" spans="1:17" x14ac:dyDescent="0.25">
      <c r="A13" t="s">
        <v>11</v>
      </c>
      <c r="B13" s="7">
        <v>8</v>
      </c>
    </row>
    <row r="15" spans="1:17" x14ac:dyDescent="0.25">
      <c r="A15" s="8" t="s">
        <v>12</v>
      </c>
      <c r="B15" s="8" t="s">
        <v>13</v>
      </c>
      <c r="C15" s="8" t="s">
        <v>14</v>
      </c>
      <c r="D15" s="9"/>
      <c r="E15" s="10">
        <v>1</v>
      </c>
      <c r="F15" s="10">
        <v>2</v>
      </c>
      <c r="G15" s="10">
        <v>3</v>
      </c>
      <c r="H15" s="10">
        <v>4</v>
      </c>
      <c r="I15" s="10">
        <v>5</v>
      </c>
      <c r="J15" s="10">
        <v>6</v>
      </c>
      <c r="K15" s="10">
        <v>7</v>
      </c>
      <c r="L15" s="10">
        <v>8</v>
      </c>
      <c r="M15" s="10">
        <v>9</v>
      </c>
      <c r="N15" s="10">
        <v>10</v>
      </c>
      <c r="O15" s="10">
        <v>11</v>
      </c>
      <c r="P15" s="10">
        <v>12</v>
      </c>
      <c r="Q15" s="10">
        <v>13</v>
      </c>
    </row>
    <row r="16" spans="1:17" x14ac:dyDescent="0.25">
      <c r="A16" s="8" t="s">
        <v>15</v>
      </c>
      <c r="B16" s="9"/>
      <c r="C16" s="9"/>
      <c r="D16" s="9"/>
      <c r="E16" s="11">
        <v>46300</v>
      </c>
      <c r="F16" s="11">
        <v>46307</v>
      </c>
      <c r="G16" s="11">
        <v>46314</v>
      </c>
      <c r="H16" s="11">
        <v>46321</v>
      </c>
      <c r="I16" s="11">
        <v>46328</v>
      </c>
      <c r="J16" s="11">
        <v>46335</v>
      </c>
      <c r="K16" s="11">
        <v>46342</v>
      </c>
      <c r="L16" s="11">
        <v>46349</v>
      </c>
      <c r="M16" s="11">
        <v>46356</v>
      </c>
      <c r="N16" s="11">
        <v>46363</v>
      </c>
      <c r="O16" s="11">
        <v>46370</v>
      </c>
      <c r="P16" s="11">
        <v>46377</v>
      </c>
      <c r="Q16" s="11">
        <v>46384</v>
      </c>
    </row>
    <row r="18" spans="1:17" x14ac:dyDescent="0.25">
      <c r="A18" s="4" t="s">
        <v>16</v>
      </c>
    </row>
    <row r="19" spans="1:17" x14ac:dyDescent="0.25">
      <c r="A19" t="s">
        <v>17</v>
      </c>
      <c r="B19" s="7">
        <v>5</v>
      </c>
      <c r="C19" s="5">
        <v>150</v>
      </c>
      <c r="E19" s="5">
        <v>150</v>
      </c>
      <c r="F19" s="5">
        <v>150</v>
      </c>
      <c r="G19" s="5">
        <v>155</v>
      </c>
      <c r="H19" s="5">
        <v>160</v>
      </c>
      <c r="I19" s="5">
        <v>165</v>
      </c>
      <c r="J19" s="5">
        <v>175</v>
      </c>
      <c r="K19" s="5">
        <v>180</v>
      </c>
      <c r="L19" s="5">
        <v>185</v>
      </c>
      <c r="M19" s="5">
        <v>185</v>
      </c>
      <c r="N19" s="5">
        <v>175</v>
      </c>
      <c r="O19" s="5">
        <v>160</v>
      </c>
      <c r="P19" s="5">
        <v>150</v>
      </c>
      <c r="Q19" s="5">
        <v>150</v>
      </c>
    </row>
    <row r="20" spans="1:17" x14ac:dyDescent="0.25">
      <c r="A20" t="s">
        <v>18</v>
      </c>
      <c r="B20" s="7">
        <v>4</v>
      </c>
      <c r="C20" s="5">
        <v>80</v>
      </c>
      <c r="E20" s="5">
        <v>80</v>
      </c>
      <c r="F20" s="5">
        <v>80</v>
      </c>
      <c r="G20" s="5">
        <v>120</v>
      </c>
      <c r="H20" s="5">
        <v>120</v>
      </c>
      <c r="I20" s="5">
        <v>80</v>
      </c>
      <c r="J20" s="5">
        <v>80</v>
      </c>
      <c r="K20" s="5">
        <v>85</v>
      </c>
      <c r="L20" s="5">
        <v>85</v>
      </c>
      <c r="M20" s="5">
        <v>90</v>
      </c>
      <c r="N20" s="5">
        <v>90</v>
      </c>
      <c r="O20" s="5">
        <v>80</v>
      </c>
      <c r="P20" s="5">
        <v>80</v>
      </c>
      <c r="Q20" s="5">
        <v>80</v>
      </c>
    </row>
    <row r="21" spans="1:17" x14ac:dyDescent="0.25">
      <c r="A21" t="s">
        <v>19</v>
      </c>
      <c r="B21" s="7">
        <v>6</v>
      </c>
      <c r="C21" s="5">
        <v>60</v>
      </c>
      <c r="E21" s="5">
        <v>60</v>
      </c>
      <c r="F21" s="5">
        <v>60</v>
      </c>
      <c r="G21" s="5">
        <v>60</v>
      </c>
      <c r="H21" s="5">
        <v>60</v>
      </c>
      <c r="I21" s="5">
        <v>60</v>
      </c>
      <c r="J21" s="5">
        <v>60</v>
      </c>
      <c r="K21" s="5">
        <v>60</v>
      </c>
      <c r="L21" s="5">
        <v>60</v>
      </c>
      <c r="M21" s="5">
        <v>60</v>
      </c>
      <c r="N21" s="5">
        <v>60</v>
      </c>
      <c r="O21" s="5">
        <v>60</v>
      </c>
      <c r="P21" s="5">
        <v>60</v>
      </c>
      <c r="Q21" s="5">
        <v>60</v>
      </c>
    </row>
    <row r="22" spans="1:17" x14ac:dyDescent="0.25">
      <c r="A22" s="12" t="s">
        <v>20</v>
      </c>
      <c r="C22" s="13">
        <f>SUM(C19:C21)</f>
        <v>290</v>
      </c>
      <c r="E22" s="13">
        <f t="shared" ref="E22:Q22" si="0">SUM(E19:E21)</f>
        <v>290</v>
      </c>
      <c r="F22" s="13">
        <f t="shared" si="0"/>
        <v>290</v>
      </c>
      <c r="G22" s="13">
        <f t="shared" si="0"/>
        <v>335</v>
      </c>
      <c r="H22" s="13">
        <f t="shared" si="0"/>
        <v>340</v>
      </c>
      <c r="I22" s="13">
        <f t="shared" si="0"/>
        <v>305</v>
      </c>
      <c r="J22" s="13">
        <f t="shared" si="0"/>
        <v>315</v>
      </c>
      <c r="K22" s="13">
        <f t="shared" si="0"/>
        <v>325</v>
      </c>
      <c r="L22" s="13">
        <f t="shared" si="0"/>
        <v>330</v>
      </c>
      <c r="M22" s="13">
        <f t="shared" si="0"/>
        <v>335</v>
      </c>
      <c r="N22" s="13">
        <f t="shared" si="0"/>
        <v>325</v>
      </c>
      <c r="O22" s="13">
        <f t="shared" si="0"/>
        <v>300</v>
      </c>
      <c r="P22" s="13">
        <f t="shared" si="0"/>
        <v>290</v>
      </c>
      <c r="Q22" s="13">
        <f t="shared" si="0"/>
        <v>290</v>
      </c>
    </row>
    <row r="24" spans="1:17" x14ac:dyDescent="0.25">
      <c r="A24" s="4" t="s">
        <v>21</v>
      </c>
    </row>
    <row r="25" spans="1:17" x14ac:dyDescent="0.25">
      <c r="A25" t="s">
        <v>22</v>
      </c>
      <c r="E25" s="14">
        <f t="shared" ref="E25:Q25" si="1">IF(E$15&lt;=$B$19,$C$19,INDEX($E$19:$Q$19,1,E$15-$B$19))*(1-$B$8)</f>
        <v>145.5</v>
      </c>
      <c r="F25" s="14">
        <f t="shared" si="1"/>
        <v>145.5</v>
      </c>
      <c r="G25" s="14">
        <f t="shared" si="1"/>
        <v>145.5</v>
      </c>
      <c r="H25" s="14">
        <f t="shared" si="1"/>
        <v>145.5</v>
      </c>
      <c r="I25" s="14">
        <f t="shared" si="1"/>
        <v>145.5</v>
      </c>
      <c r="J25" s="14">
        <f t="shared" si="1"/>
        <v>145.5</v>
      </c>
      <c r="K25" s="14">
        <f t="shared" si="1"/>
        <v>145.5</v>
      </c>
      <c r="L25" s="14">
        <f t="shared" si="1"/>
        <v>150.35</v>
      </c>
      <c r="M25" s="14">
        <f t="shared" si="1"/>
        <v>155.19999999999999</v>
      </c>
      <c r="N25" s="14">
        <f t="shared" si="1"/>
        <v>160.04999999999998</v>
      </c>
      <c r="O25" s="14">
        <f t="shared" si="1"/>
        <v>169.75</v>
      </c>
      <c r="P25" s="14">
        <f t="shared" si="1"/>
        <v>174.6</v>
      </c>
      <c r="Q25" s="14">
        <f t="shared" si="1"/>
        <v>179.45</v>
      </c>
    </row>
    <row r="26" spans="1:17" x14ac:dyDescent="0.25">
      <c r="A26" t="s">
        <v>23</v>
      </c>
      <c r="E26" s="14">
        <f t="shared" ref="E26:Q26" si="2">IF(E$15&lt;=$B$20,$C$20,INDEX($E$20:$Q$20,1,E$15-$B$20))*(1-$B$8)</f>
        <v>77.599999999999994</v>
      </c>
      <c r="F26" s="14">
        <f t="shared" si="2"/>
        <v>77.599999999999994</v>
      </c>
      <c r="G26" s="14">
        <f t="shared" si="2"/>
        <v>77.599999999999994</v>
      </c>
      <c r="H26" s="14">
        <f t="shared" si="2"/>
        <v>77.599999999999994</v>
      </c>
      <c r="I26" s="14">
        <f t="shared" si="2"/>
        <v>77.599999999999994</v>
      </c>
      <c r="J26" s="14">
        <f t="shared" si="2"/>
        <v>77.599999999999994</v>
      </c>
      <c r="K26" s="14">
        <f t="shared" si="2"/>
        <v>116.39999999999999</v>
      </c>
      <c r="L26" s="14">
        <f t="shared" si="2"/>
        <v>116.39999999999999</v>
      </c>
      <c r="M26" s="14">
        <f t="shared" si="2"/>
        <v>77.599999999999994</v>
      </c>
      <c r="N26" s="14">
        <f t="shared" si="2"/>
        <v>77.599999999999994</v>
      </c>
      <c r="O26" s="14">
        <f t="shared" si="2"/>
        <v>82.45</v>
      </c>
      <c r="P26" s="14">
        <f t="shared" si="2"/>
        <v>82.45</v>
      </c>
      <c r="Q26" s="14">
        <f t="shared" si="2"/>
        <v>87.3</v>
      </c>
    </row>
    <row r="27" spans="1:17" x14ac:dyDescent="0.25">
      <c r="A27" t="s">
        <v>24</v>
      </c>
      <c r="E27" s="14">
        <f t="shared" ref="E27:Q27" si="3">IF(E$15&lt;=$B$21,$C$21,INDEX($E$21:$Q$21,1,E$15-$B$21))*(1-$B$8)</f>
        <v>58.199999999999996</v>
      </c>
      <c r="F27" s="14">
        <f t="shared" si="3"/>
        <v>58.199999999999996</v>
      </c>
      <c r="G27" s="14">
        <f t="shared" si="3"/>
        <v>58.199999999999996</v>
      </c>
      <c r="H27" s="14">
        <f t="shared" si="3"/>
        <v>58.199999999999996</v>
      </c>
      <c r="I27" s="14">
        <f t="shared" si="3"/>
        <v>58.199999999999996</v>
      </c>
      <c r="J27" s="14">
        <f t="shared" si="3"/>
        <v>58.199999999999996</v>
      </c>
      <c r="K27" s="14">
        <f t="shared" si="3"/>
        <v>58.199999999999996</v>
      </c>
      <c r="L27" s="14">
        <f t="shared" si="3"/>
        <v>58.199999999999996</v>
      </c>
      <c r="M27" s="14">
        <f t="shared" si="3"/>
        <v>58.199999999999996</v>
      </c>
      <c r="N27" s="14">
        <f t="shared" si="3"/>
        <v>58.199999999999996</v>
      </c>
      <c r="O27" s="14">
        <f t="shared" si="3"/>
        <v>58.199999999999996</v>
      </c>
      <c r="P27" s="14">
        <f t="shared" si="3"/>
        <v>58.199999999999996</v>
      </c>
      <c r="Q27" s="14">
        <f t="shared" si="3"/>
        <v>58.199999999999996</v>
      </c>
    </row>
    <row r="28" spans="1:17" x14ac:dyDescent="0.25">
      <c r="A28" s="12" t="s">
        <v>25</v>
      </c>
      <c r="E28" s="13">
        <f t="shared" ref="E28:Q28" si="4">SUM(E25:E27)</f>
        <v>281.3</v>
      </c>
      <c r="F28" s="13">
        <f t="shared" si="4"/>
        <v>281.3</v>
      </c>
      <c r="G28" s="13">
        <f t="shared" si="4"/>
        <v>281.3</v>
      </c>
      <c r="H28" s="13">
        <f t="shared" si="4"/>
        <v>281.3</v>
      </c>
      <c r="I28" s="13">
        <f t="shared" si="4"/>
        <v>281.3</v>
      </c>
      <c r="J28" s="13">
        <f t="shared" si="4"/>
        <v>281.3</v>
      </c>
      <c r="K28" s="13">
        <f t="shared" si="4"/>
        <v>320.09999999999997</v>
      </c>
      <c r="L28" s="13">
        <f t="shared" si="4"/>
        <v>324.95</v>
      </c>
      <c r="M28" s="13">
        <f t="shared" si="4"/>
        <v>291</v>
      </c>
      <c r="N28" s="13">
        <f t="shared" si="4"/>
        <v>295.84999999999997</v>
      </c>
      <c r="O28" s="13">
        <f t="shared" si="4"/>
        <v>310.39999999999998</v>
      </c>
      <c r="P28" s="13">
        <f t="shared" si="4"/>
        <v>315.25</v>
      </c>
      <c r="Q28" s="13">
        <f t="shared" si="4"/>
        <v>324.95</v>
      </c>
    </row>
    <row r="30" spans="1:17" x14ac:dyDescent="0.25">
      <c r="A30" s="4" t="s">
        <v>26</v>
      </c>
    </row>
    <row r="31" spans="1:17" x14ac:dyDescent="0.25">
      <c r="A31" t="s">
        <v>27</v>
      </c>
      <c r="E31" s="14">
        <f t="shared" ref="E31:Q31" si="5">IF(E$15&lt;=$B$10,$C$22*$B$9,INDEX($E$22:$Q$22,1,E$15-$B$10)*$B$9)</f>
        <v>159.5</v>
      </c>
      <c r="F31" s="14">
        <f t="shared" si="5"/>
        <v>159.5</v>
      </c>
      <c r="G31" s="14">
        <f t="shared" si="5"/>
        <v>159.5</v>
      </c>
      <c r="H31" s="14">
        <f t="shared" si="5"/>
        <v>159.5</v>
      </c>
      <c r="I31" s="14">
        <f t="shared" si="5"/>
        <v>159.5</v>
      </c>
      <c r="J31" s="14">
        <f t="shared" si="5"/>
        <v>159.5</v>
      </c>
      <c r="K31" s="14">
        <f t="shared" si="5"/>
        <v>184.25000000000003</v>
      </c>
      <c r="L31" s="14">
        <f t="shared" si="5"/>
        <v>187.00000000000003</v>
      </c>
      <c r="M31" s="14">
        <f t="shared" si="5"/>
        <v>167.75</v>
      </c>
      <c r="N31" s="14">
        <f t="shared" si="5"/>
        <v>173.25</v>
      </c>
      <c r="O31" s="14">
        <f t="shared" si="5"/>
        <v>178.75000000000003</v>
      </c>
      <c r="P31" s="14">
        <f t="shared" si="5"/>
        <v>181.50000000000003</v>
      </c>
      <c r="Q31" s="14">
        <f t="shared" si="5"/>
        <v>184.25000000000003</v>
      </c>
    </row>
    <row r="32" spans="1:17" x14ac:dyDescent="0.25">
      <c r="A32" t="s">
        <v>28</v>
      </c>
      <c r="E32" s="5">
        <v>0</v>
      </c>
      <c r="F32" s="5">
        <v>140</v>
      </c>
      <c r="G32" s="5">
        <v>0</v>
      </c>
      <c r="H32" s="5">
        <v>140</v>
      </c>
      <c r="I32" s="5">
        <v>0</v>
      </c>
      <c r="J32" s="5">
        <v>140</v>
      </c>
      <c r="K32" s="5">
        <v>0</v>
      </c>
      <c r="L32" s="5">
        <v>140</v>
      </c>
      <c r="M32" s="5">
        <v>0</v>
      </c>
      <c r="N32" s="5">
        <v>140</v>
      </c>
      <c r="O32" s="5">
        <v>0</v>
      </c>
      <c r="P32" s="5">
        <v>140</v>
      </c>
      <c r="Q32" s="5">
        <v>0</v>
      </c>
    </row>
    <row r="33" spans="1:17" x14ac:dyDescent="0.25">
      <c r="A33" t="s">
        <v>29</v>
      </c>
      <c r="E33" s="5">
        <v>55</v>
      </c>
      <c r="F33" s="5">
        <v>0</v>
      </c>
      <c r="G33" s="5">
        <v>0</v>
      </c>
      <c r="H33" s="5">
        <v>0</v>
      </c>
      <c r="I33" s="5">
        <v>55</v>
      </c>
      <c r="J33" s="5">
        <v>0</v>
      </c>
      <c r="K33" s="5">
        <v>0</v>
      </c>
      <c r="L33" s="5">
        <v>0</v>
      </c>
      <c r="M33" s="5">
        <v>55</v>
      </c>
      <c r="N33" s="5">
        <v>0</v>
      </c>
      <c r="O33" s="5">
        <v>0</v>
      </c>
      <c r="P33" s="5">
        <v>0</v>
      </c>
      <c r="Q33" s="5">
        <v>55</v>
      </c>
    </row>
    <row r="34" spans="1:17" x14ac:dyDescent="0.25">
      <c r="A34" t="s">
        <v>30</v>
      </c>
      <c r="E34" s="14">
        <f t="shared" ref="E34:Q34" si="6">E22*$B$11</f>
        <v>13.049999999999999</v>
      </c>
      <c r="F34" s="14">
        <f t="shared" si="6"/>
        <v>13.049999999999999</v>
      </c>
      <c r="G34" s="14">
        <f t="shared" si="6"/>
        <v>15.074999999999999</v>
      </c>
      <c r="H34" s="14">
        <f t="shared" si="6"/>
        <v>15.299999999999999</v>
      </c>
      <c r="I34" s="14">
        <f t="shared" si="6"/>
        <v>13.725</v>
      </c>
      <c r="J34" s="14">
        <f t="shared" si="6"/>
        <v>14.174999999999999</v>
      </c>
      <c r="K34" s="14">
        <f t="shared" si="6"/>
        <v>14.625</v>
      </c>
      <c r="L34" s="14">
        <f t="shared" si="6"/>
        <v>14.85</v>
      </c>
      <c r="M34" s="14">
        <f t="shared" si="6"/>
        <v>15.074999999999999</v>
      </c>
      <c r="N34" s="14">
        <f t="shared" si="6"/>
        <v>14.625</v>
      </c>
      <c r="O34" s="14">
        <f t="shared" si="6"/>
        <v>13.5</v>
      </c>
      <c r="P34" s="14">
        <f t="shared" si="6"/>
        <v>13.049999999999999</v>
      </c>
      <c r="Q34" s="14">
        <f t="shared" si="6"/>
        <v>13.049999999999999</v>
      </c>
    </row>
    <row r="35" spans="1:17" x14ac:dyDescent="0.25">
      <c r="A35" t="s">
        <v>31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180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</row>
    <row r="36" spans="1:17" x14ac:dyDescent="0.25">
      <c r="A36" t="s">
        <v>32</v>
      </c>
      <c r="E36" s="14">
        <f t="shared" ref="E36:Q36" si="7">IF(E$15=$B$13,$B$12,0)</f>
        <v>0</v>
      </c>
      <c r="F36" s="14">
        <f t="shared" si="7"/>
        <v>0</v>
      </c>
      <c r="G36" s="14">
        <f t="shared" si="7"/>
        <v>0</v>
      </c>
      <c r="H36" s="14">
        <f t="shared" si="7"/>
        <v>0</v>
      </c>
      <c r="I36" s="14">
        <f t="shared" si="7"/>
        <v>0</v>
      </c>
      <c r="J36" s="14">
        <f t="shared" si="7"/>
        <v>0</v>
      </c>
      <c r="K36" s="14">
        <f t="shared" si="7"/>
        <v>0</v>
      </c>
      <c r="L36" s="14">
        <f t="shared" si="7"/>
        <v>250</v>
      </c>
      <c r="M36" s="14">
        <f t="shared" si="7"/>
        <v>0</v>
      </c>
      <c r="N36" s="14">
        <f t="shared" si="7"/>
        <v>0</v>
      </c>
      <c r="O36" s="14">
        <f t="shared" si="7"/>
        <v>0</v>
      </c>
      <c r="P36" s="14">
        <f t="shared" si="7"/>
        <v>0</v>
      </c>
      <c r="Q36" s="14">
        <f t="shared" si="7"/>
        <v>0</v>
      </c>
    </row>
    <row r="37" spans="1:17" x14ac:dyDescent="0.25">
      <c r="A37" t="s">
        <v>33</v>
      </c>
      <c r="E37" s="5">
        <v>0</v>
      </c>
      <c r="F37" s="5">
        <v>0</v>
      </c>
      <c r="G37" s="5">
        <v>0</v>
      </c>
      <c r="H37" s="5">
        <v>45</v>
      </c>
      <c r="I37" s="5">
        <v>0</v>
      </c>
      <c r="J37" s="5">
        <v>0</v>
      </c>
      <c r="K37" s="5">
        <v>0</v>
      </c>
      <c r="L37" s="5">
        <v>0</v>
      </c>
      <c r="M37" s="5">
        <v>45</v>
      </c>
      <c r="N37" s="5">
        <v>0</v>
      </c>
      <c r="O37" s="5">
        <v>0</v>
      </c>
      <c r="P37" s="5">
        <v>0</v>
      </c>
      <c r="Q37" s="5">
        <v>45</v>
      </c>
    </row>
    <row r="38" spans="1:17" x14ac:dyDescent="0.25">
      <c r="A38" s="12" t="s">
        <v>34</v>
      </c>
      <c r="E38" s="13">
        <f t="shared" ref="E38:Q38" si="8">SUM(E31:E37)</f>
        <v>227.55</v>
      </c>
      <c r="F38" s="13">
        <f t="shared" si="8"/>
        <v>312.55</v>
      </c>
      <c r="G38" s="13">
        <f t="shared" si="8"/>
        <v>174.57499999999999</v>
      </c>
      <c r="H38" s="13">
        <f t="shared" si="8"/>
        <v>359.8</v>
      </c>
      <c r="I38" s="13">
        <f t="shared" si="8"/>
        <v>228.22499999999999</v>
      </c>
      <c r="J38" s="13">
        <f t="shared" si="8"/>
        <v>493.67500000000001</v>
      </c>
      <c r="K38" s="13">
        <f t="shared" si="8"/>
        <v>198.87500000000003</v>
      </c>
      <c r="L38" s="13">
        <f t="shared" si="8"/>
        <v>591.85</v>
      </c>
      <c r="M38" s="13">
        <f t="shared" si="8"/>
        <v>282.82499999999999</v>
      </c>
      <c r="N38" s="13">
        <f t="shared" si="8"/>
        <v>327.875</v>
      </c>
      <c r="O38" s="13">
        <f t="shared" si="8"/>
        <v>192.25000000000003</v>
      </c>
      <c r="P38" s="13">
        <f t="shared" si="8"/>
        <v>334.55</v>
      </c>
      <c r="Q38" s="13">
        <f t="shared" si="8"/>
        <v>297.30000000000007</v>
      </c>
    </row>
    <row r="40" spans="1:17" x14ac:dyDescent="0.25">
      <c r="A40" s="4" t="s">
        <v>35</v>
      </c>
    </row>
    <row r="41" spans="1:17" x14ac:dyDescent="0.25">
      <c r="A41" s="15" t="s">
        <v>4</v>
      </c>
      <c r="E41" s="14">
        <f>$B$6</f>
        <v>550</v>
      </c>
      <c r="F41" s="14">
        <f t="shared" ref="F41:Q41" si="9">E43</f>
        <v>603.75</v>
      </c>
      <c r="G41" s="14">
        <f t="shared" si="9"/>
        <v>572.5</v>
      </c>
      <c r="H41" s="14">
        <f t="shared" si="9"/>
        <v>679.22500000000002</v>
      </c>
      <c r="I41" s="14">
        <f t="shared" si="9"/>
        <v>600.72500000000002</v>
      </c>
      <c r="J41" s="14">
        <f t="shared" si="9"/>
        <v>653.80000000000007</v>
      </c>
      <c r="K41" s="14">
        <f t="shared" si="9"/>
        <v>441.42500000000007</v>
      </c>
      <c r="L41" s="14">
        <f t="shared" si="9"/>
        <v>562.65</v>
      </c>
      <c r="M41" s="14">
        <f t="shared" si="9"/>
        <v>295.74999999999994</v>
      </c>
      <c r="N41" s="14">
        <f t="shared" si="9"/>
        <v>303.92499999999995</v>
      </c>
      <c r="O41" s="14">
        <f t="shared" si="9"/>
        <v>271.89999999999992</v>
      </c>
      <c r="P41" s="14">
        <f t="shared" si="9"/>
        <v>390.04999999999984</v>
      </c>
      <c r="Q41" s="14">
        <f t="shared" si="9"/>
        <v>370.74999999999983</v>
      </c>
    </row>
    <row r="42" spans="1:17" x14ac:dyDescent="0.25">
      <c r="A42" s="15" t="s">
        <v>36</v>
      </c>
      <c r="E42" s="14">
        <f t="shared" ref="E42:Q42" si="10">E28-E38</f>
        <v>53.75</v>
      </c>
      <c r="F42" s="14">
        <f t="shared" si="10"/>
        <v>-31.25</v>
      </c>
      <c r="G42" s="14">
        <f t="shared" si="10"/>
        <v>106.72500000000002</v>
      </c>
      <c r="H42" s="14">
        <f t="shared" si="10"/>
        <v>-78.5</v>
      </c>
      <c r="I42" s="14">
        <f t="shared" si="10"/>
        <v>53.075000000000017</v>
      </c>
      <c r="J42" s="14">
        <f t="shared" si="10"/>
        <v>-212.375</v>
      </c>
      <c r="K42" s="14">
        <f t="shared" si="10"/>
        <v>121.22499999999994</v>
      </c>
      <c r="L42" s="14">
        <f t="shared" si="10"/>
        <v>-266.90000000000003</v>
      </c>
      <c r="M42" s="14">
        <f t="shared" si="10"/>
        <v>8.1750000000000114</v>
      </c>
      <c r="N42" s="14">
        <f t="shared" si="10"/>
        <v>-32.025000000000034</v>
      </c>
      <c r="O42" s="14">
        <f t="shared" si="10"/>
        <v>118.14999999999995</v>
      </c>
      <c r="P42" s="14">
        <f t="shared" si="10"/>
        <v>-19.300000000000011</v>
      </c>
      <c r="Q42" s="14">
        <f t="shared" si="10"/>
        <v>27.64999999999992</v>
      </c>
    </row>
    <row r="43" spans="1:17" x14ac:dyDescent="0.25">
      <c r="A43" s="12" t="s">
        <v>37</v>
      </c>
      <c r="E43" s="16">
        <f t="shared" ref="E43:Q43" si="11">E41+E42</f>
        <v>603.75</v>
      </c>
      <c r="F43" s="16">
        <f t="shared" si="11"/>
        <v>572.5</v>
      </c>
      <c r="G43" s="16">
        <f t="shared" si="11"/>
        <v>679.22500000000002</v>
      </c>
      <c r="H43" s="16">
        <f t="shared" si="11"/>
        <v>600.72500000000002</v>
      </c>
      <c r="I43" s="16">
        <f t="shared" si="11"/>
        <v>653.80000000000007</v>
      </c>
      <c r="J43" s="16">
        <f t="shared" si="11"/>
        <v>441.42500000000007</v>
      </c>
      <c r="K43" s="16">
        <f t="shared" si="11"/>
        <v>562.65</v>
      </c>
      <c r="L43" s="16">
        <f t="shared" si="11"/>
        <v>295.74999999999994</v>
      </c>
      <c r="M43" s="16">
        <f t="shared" si="11"/>
        <v>303.92499999999995</v>
      </c>
      <c r="N43" s="16">
        <f t="shared" si="11"/>
        <v>271.89999999999992</v>
      </c>
      <c r="O43" s="16">
        <f t="shared" si="11"/>
        <v>390.04999999999984</v>
      </c>
      <c r="P43" s="16">
        <f t="shared" si="11"/>
        <v>370.74999999999983</v>
      </c>
      <c r="Q43" s="16">
        <f t="shared" si="11"/>
        <v>398.39999999999975</v>
      </c>
    </row>
    <row r="44" spans="1:17" x14ac:dyDescent="0.25">
      <c r="A44" s="15" t="s">
        <v>38</v>
      </c>
      <c r="E44" s="14">
        <f t="shared" ref="E44:Q44" si="12">E43-$B$7</f>
        <v>303.75</v>
      </c>
      <c r="F44" s="14">
        <f t="shared" si="12"/>
        <v>272.5</v>
      </c>
      <c r="G44" s="14">
        <f t="shared" si="12"/>
        <v>379.22500000000002</v>
      </c>
      <c r="H44" s="14">
        <f t="shared" si="12"/>
        <v>300.72500000000002</v>
      </c>
      <c r="I44" s="14">
        <f t="shared" si="12"/>
        <v>353.80000000000007</v>
      </c>
      <c r="J44" s="14">
        <f t="shared" si="12"/>
        <v>141.42500000000007</v>
      </c>
      <c r="K44" s="14">
        <f t="shared" si="12"/>
        <v>262.64999999999998</v>
      </c>
      <c r="L44" s="14">
        <f t="shared" si="12"/>
        <v>-4.2500000000000568</v>
      </c>
      <c r="M44" s="14">
        <f t="shared" si="12"/>
        <v>3.9249999999999545</v>
      </c>
      <c r="N44" s="14">
        <f t="shared" si="12"/>
        <v>-28.10000000000008</v>
      </c>
      <c r="O44" s="14">
        <f t="shared" si="12"/>
        <v>90.049999999999841</v>
      </c>
      <c r="P44" s="14">
        <f t="shared" si="12"/>
        <v>70.749999999999829</v>
      </c>
      <c r="Q44" s="14">
        <f t="shared" si="12"/>
        <v>98.39999999999975</v>
      </c>
    </row>
    <row r="45" spans="1:17" x14ac:dyDescent="0.25">
      <c r="A45" s="12" t="s">
        <v>39</v>
      </c>
      <c r="E45" s="17" t="str">
        <f t="shared" ref="E45:Q45" si="13">IF(E44&lt;0,"BELOW MIN","OK")</f>
        <v>OK</v>
      </c>
      <c r="F45" s="17" t="str">
        <f t="shared" si="13"/>
        <v>OK</v>
      </c>
      <c r="G45" s="17" t="str">
        <f t="shared" si="13"/>
        <v>OK</v>
      </c>
      <c r="H45" s="17" t="str">
        <f t="shared" si="13"/>
        <v>OK</v>
      </c>
      <c r="I45" s="17" t="str">
        <f t="shared" si="13"/>
        <v>OK</v>
      </c>
      <c r="J45" s="17" t="str">
        <f t="shared" si="13"/>
        <v>OK</v>
      </c>
      <c r="K45" s="17" t="str">
        <f t="shared" si="13"/>
        <v>OK</v>
      </c>
      <c r="L45" s="17" t="str">
        <f t="shared" si="13"/>
        <v>BELOW MIN</v>
      </c>
      <c r="M45" s="17" t="str">
        <f t="shared" si="13"/>
        <v>OK</v>
      </c>
      <c r="N45" s="17" t="str">
        <f t="shared" si="13"/>
        <v>BELOW MIN</v>
      </c>
      <c r="O45" s="17" t="str">
        <f t="shared" si="13"/>
        <v>OK</v>
      </c>
      <c r="P45" s="17" t="str">
        <f t="shared" si="13"/>
        <v>OK</v>
      </c>
      <c r="Q45" s="17" t="str">
        <f t="shared" si="13"/>
        <v>OK</v>
      </c>
    </row>
    <row r="47" spans="1:17" x14ac:dyDescent="0.25">
      <c r="A47" s="4" t="s">
        <v>40</v>
      </c>
    </row>
    <row r="48" spans="1:17" x14ac:dyDescent="0.25">
      <c r="A48" t="s">
        <v>41</v>
      </c>
      <c r="B48" s="13">
        <f>MIN(E43:Q43)</f>
        <v>271.89999999999992</v>
      </c>
    </row>
    <row r="49" spans="1:17" x14ac:dyDescent="0.25">
      <c r="A49" t="s">
        <v>42</v>
      </c>
      <c r="B49" s="18">
        <f>INDEX(E15:Q15,1,MATCH(B48,E43:Q43,0))</f>
        <v>10</v>
      </c>
    </row>
    <row r="50" spans="1:17" x14ac:dyDescent="0.25">
      <c r="A50" t="s">
        <v>43</v>
      </c>
      <c r="B50" s="18">
        <f>COUNTIF(E44:Q44,"&lt;0")</f>
        <v>2</v>
      </c>
    </row>
    <row r="51" spans="1:17" x14ac:dyDescent="0.25">
      <c r="A51" t="s">
        <v>44</v>
      </c>
      <c r="B51" s="13">
        <f>Q43</f>
        <v>398.39999999999975</v>
      </c>
    </row>
    <row r="52" spans="1:17" x14ac:dyDescent="0.25">
      <c r="A52" t="s">
        <v>45</v>
      </c>
      <c r="B52" s="13">
        <f>SUM(E28:Q28)</f>
        <v>3870.2999999999997</v>
      </c>
    </row>
    <row r="53" spans="1:17" x14ac:dyDescent="0.25">
      <c r="A53" t="s">
        <v>46</v>
      </c>
      <c r="B53" s="13">
        <f>SUM(E38:Q38)</f>
        <v>4021.9</v>
      </c>
    </row>
    <row r="55" spans="1:17" x14ac:dyDescent="0.25">
      <c r="A55" s="4" t="s">
        <v>47</v>
      </c>
    </row>
    <row r="56" spans="1:17" ht="32.1" customHeight="1" x14ac:dyDescent="0.25">
      <c r="A56" s="20" t="s">
        <v>48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</row>
    <row r="57" spans="1:17" ht="32.1" customHeight="1" x14ac:dyDescent="0.25">
      <c r="A57" s="20" t="s">
        <v>49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</row>
    <row r="58" spans="1:17" ht="32.1" customHeight="1" x14ac:dyDescent="0.25">
      <c r="A58" s="20" t="s">
        <v>50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 spans="1:17" ht="32.1" customHeight="1" x14ac:dyDescent="0.25">
      <c r="A59" s="20" t="s">
        <v>51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</row>
    <row r="61" spans="1:17" x14ac:dyDescent="0.25">
      <c r="A61" s="19" t="s">
        <v>52</v>
      </c>
    </row>
  </sheetData>
  <mergeCells count="4">
    <mergeCell ref="A58:Q58"/>
    <mergeCell ref="A56:Q56"/>
    <mergeCell ref="A59:Q59"/>
    <mergeCell ref="A57:Q57"/>
  </mergeCells>
  <conditionalFormatting sqref="E43:Q45">
    <cfRule type="expression" dxfId="0" priority="1">
      <formula>E$44&lt;0</formula>
    </cfRule>
  </conditionalFormatting>
  <pageMargins left="0.75" right="0.75" top="1" bottom="1" header="0.5" footer="0.5"/>
  <pageSetup orientation="landscape"/>
  <headerFooter>
    <oddHeader>&amp;CSYNTHETIC DATA - ILLUSTRATIVE ONLY</oddHeader>
    <oddFooter>&amp;CFinviq demonstration - www.thefinviq.com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13-Week Cash Forecast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Ahmed Hassan - Fin Planning</cp:lastModifiedBy>
  <dcterms:created xsi:type="dcterms:W3CDTF">2026-09-30T06:50:39Z</dcterms:created>
  <dcterms:modified xsi:type="dcterms:W3CDTF">2026-09-30T06:50:54Z</dcterms:modified>
</cp:coreProperties>
</file>